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АУ ТГК14\Юристы\_общие документы\1.Отдел корпоративных отношений\7. СД ТГК-14\2024\318\9. Соглашение ДУК-ТГК залог акций\"/>
    </mc:Choice>
  </mc:AlternateContent>
  <bookViews>
    <workbookView xWindow="0" yWindow="0" windowWidth="28800" windowHeight="12330" activeTab="1"/>
  </bookViews>
  <sheets>
    <sheet name="29-23 от 28.04.2023" sheetId="1" r:id="rId1"/>
    <sheet name="доля акций в залог" sheetId="2" r:id="rId2"/>
    <sheet name="Лист2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21" i="2"/>
  <c r="B31" i="2"/>
  <c r="B5" i="2"/>
  <c r="B18" i="2"/>
  <c r="B7" i="2"/>
  <c r="J22" i="1"/>
  <c r="J23" i="1"/>
  <c r="J24" i="1"/>
  <c r="J25" i="1"/>
  <c r="J26" i="1"/>
  <c r="J27" i="1"/>
  <c r="J28" i="1"/>
  <c r="J29" i="1"/>
  <c r="J30" i="1"/>
  <c r="I22" i="1"/>
  <c r="K22" i="1" s="1"/>
  <c r="I28" i="1"/>
  <c r="K28" i="1" s="1"/>
  <c r="G22" i="1"/>
  <c r="G23" i="1"/>
  <c r="I23" i="1" s="1"/>
  <c r="K23" i="1" s="1"/>
  <c r="G24" i="1"/>
  <c r="I24" i="1" s="1"/>
  <c r="K24" i="1" s="1"/>
  <c r="G25" i="1"/>
  <c r="I25" i="1" s="1"/>
  <c r="K25" i="1" s="1"/>
  <c r="G26" i="1"/>
  <c r="I26" i="1" s="1"/>
  <c r="K26" i="1" s="1"/>
  <c r="G27" i="1"/>
  <c r="I27" i="1" s="1"/>
  <c r="K27" i="1" s="1"/>
  <c r="G28" i="1"/>
  <c r="G29" i="1"/>
  <c r="I29" i="1" s="1"/>
  <c r="K29" i="1" s="1"/>
  <c r="G30" i="1"/>
  <c r="I30" i="1" s="1"/>
  <c r="K30" i="1" s="1"/>
  <c r="F22" i="1"/>
  <c r="C23" i="1" s="1"/>
  <c r="F23" i="1" s="1"/>
  <c r="C22" i="1"/>
  <c r="H10" i="3" l="1"/>
  <c r="H11" i="3"/>
  <c r="E11" i="3"/>
  <c r="F11" i="3" s="1"/>
  <c r="G11" i="3" s="1"/>
  <c r="D11" i="3"/>
  <c r="M13" i="1"/>
  <c r="L13" i="1"/>
  <c r="L10" i="1"/>
  <c r="G21" i="1"/>
  <c r="I21" i="1" s="1"/>
  <c r="J21" i="1"/>
  <c r="G20" i="1"/>
  <c r="I20" i="1" s="1"/>
  <c r="J20" i="1"/>
  <c r="B3" i="3" l="1"/>
  <c r="C4" i="3" s="1"/>
  <c r="C3" i="3" l="1"/>
  <c r="D4" i="3" s="1"/>
  <c r="E23" i="1" l="1"/>
  <c r="D3" i="3" l="1"/>
  <c r="E4" i="3" s="1"/>
  <c r="E25" i="1" l="1"/>
  <c r="E3" i="3" l="1"/>
  <c r="F4" i="3" s="1"/>
  <c r="E27" i="1" l="1"/>
  <c r="E29" i="1" l="1"/>
  <c r="F3" i="3" l="1"/>
  <c r="G4" i="3" s="1"/>
  <c r="G3" i="3" l="1"/>
  <c r="H4" i="3" s="1"/>
  <c r="B29" i="2" l="1"/>
  <c r="B28" i="2"/>
  <c r="B17" i="2"/>
  <c r="B5" i="3" l="1"/>
  <c r="C5" i="3" s="1"/>
  <c r="J18" i="1"/>
  <c r="J17" i="1"/>
  <c r="D5" i="3" l="1"/>
  <c r="C6" i="3"/>
  <c r="J19" i="1"/>
  <c r="H17" i="1"/>
  <c r="G18" i="1" s="1"/>
  <c r="H18" i="1" s="1"/>
  <c r="G19" i="1" s="1"/>
  <c r="I19" i="1" s="1"/>
  <c r="G17" i="1"/>
  <c r="J16" i="1"/>
  <c r="G16" i="1"/>
  <c r="I16" i="1" s="1"/>
  <c r="J15" i="1"/>
  <c r="G15" i="1"/>
  <c r="I15" i="1" s="1"/>
  <c r="J14" i="1"/>
  <c r="G14" i="1"/>
  <c r="I14" i="1" s="1"/>
  <c r="J13" i="1"/>
  <c r="G13" i="1"/>
  <c r="I13" i="1" s="1"/>
  <c r="J12" i="1"/>
  <c r="G12" i="1"/>
  <c r="I12" i="1" s="1"/>
  <c r="E5" i="3" l="1"/>
  <c r="D6" i="3"/>
  <c r="I17" i="1"/>
  <c r="I18" i="1"/>
  <c r="F5" i="3" l="1"/>
  <c r="E6" i="3"/>
  <c r="J11" i="1"/>
  <c r="G11" i="1"/>
  <c r="I11" i="1" s="1"/>
  <c r="J10" i="1"/>
  <c r="G10" i="1"/>
  <c r="I10" i="1" s="1"/>
  <c r="J9" i="1"/>
  <c r="G9" i="1"/>
  <c r="I9" i="1" s="1"/>
  <c r="J8" i="1"/>
  <c r="G8" i="1"/>
  <c r="I8" i="1" s="1"/>
  <c r="J7" i="1"/>
  <c r="G7" i="1"/>
  <c r="I7" i="1" s="1"/>
  <c r="J6" i="1"/>
  <c r="J5" i="1"/>
  <c r="G6" i="1"/>
  <c r="I6" i="1" s="1"/>
  <c r="G5" i="1"/>
  <c r="I5" i="1" s="1"/>
  <c r="I4" i="1"/>
  <c r="J4" i="1"/>
  <c r="K4" i="1" s="1"/>
  <c r="G5" i="3" l="1"/>
  <c r="F6" i="3"/>
  <c r="F4" i="1"/>
  <c r="C5" i="1" s="1"/>
  <c r="K5" i="1" s="1"/>
  <c r="H5" i="3" l="1"/>
  <c r="H6" i="3" s="1"/>
  <c r="G6" i="3"/>
  <c r="F5" i="1"/>
  <c r="C6" i="1" s="1"/>
  <c r="K6" i="1" s="1"/>
  <c r="F6" i="1" l="1"/>
  <c r="C7" i="1" s="1"/>
  <c r="F7" i="1" l="1"/>
  <c r="C8" i="1" s="1"/>
  <c r="K7" i="1"/>
  <c r="F8" i="1" l="1"/>
  <c r="C9" i="1" s="1"/>
  <c r="K8" i="1"/>
  <c r="F9" i="1" l="1"/>
  <c r="C10" i="1" s="1"/>
  <c r="K9" i="1"/>
  <c r="K10" i="1" l="1"/>
  <c r="F10" i="1"/>
  <c r="C11" i="1" s="1"/>
  <c r="F11" i="1" l="1"/>
  <c r="C12" i="1" s="1"/>
  <c r="K11" i="1"/>
  <c r="F12" i="1" l="1"/>
  <c r="C13" i="1" s="1"/>
  <c r="K12" i="1"/>
  <c r="F13" i="1" l="1"/>
  <c r="C14" i="1" s="1"/>
  <c r="K13" i="1"/>
  <c r="F14" i="1" l="1"/>
  <c r="C15" i="1" s="1"/>
  <c r="K14" i="1"/>
  <c r="F15" i="1" l="1"/>
  <c r="C16" i="1" s="1"/>
  <c r="K15" i="1"/>
  <c r="F16" i="1" l="1"/>
  <c r="C17" i="1" s="1"/>
  <c r="K16" i="1"/>
  <c r="F17" i="1" l="1"/>
  <c r="C18" i="1" s="1"/>
  <c r="K17" i="1"/>
  <c r="F18" i="1" l="1"/>
  <c r="C19" i="1" s="1"/>
  <c r="K18" i="1"/>
  <c r="F19" i="1" l="1"/>
  <c r="K19" i="1"/>
  <c r="C7" i="3" l="1"/>
  <c r="C9" i="3" s="1"/>
  <c r="D7" i="3" s="1"/>
  <c r="D9" i="3" s="1"/>
  <c r="E7" i="3" s="1"/>
  <c r="E9" i="3" s="1"/>
  <c r="F7" i="3" s="1"/>
  <c r="F9" i="3" s="1"/>
  <c r="G7" i="3" s="1"/>
  <c r="G9" i="3" s="1"/>
  <c r="H7" i="3" s="1"/>
  <c r="C20" i="1"/>
  <c r="B20" i="2" l="1"/>
  <c r="B10" i="2"/>
  <c r="K20" i="1"/>
  <c r="M20" i="1" s="1"/>
  <c r="F20" i="1"/>
  <c r="C21" i="1" s="1"/>
  <c r="H8" i="3"/>
  <c r="H12" i="3" s="1"/>
  <c r="H9" i="3"/>
  <c r="C10" i="3" l="1"/>
  <c r="C12" i="3" s="1"/>
  <c r="L20" i="1"/>
  <c r="F21" i="1"/>
  <c r="K21" i="1"/>
  <c r="B30" i="2"/>
  <c r="C21" i="2" l="1"/>
  <c r="B22" i="2"/>
  <c r="C22" i="2" s="1"/>
  <c r="M23" i="1"/>
  <c r="D10" i="3" s="1"/>
  <c r="D12" i="3" s="1"/>
  <c r="C24" i="1"/>
  <c r="F24" i="1" s="1"/>
  <c r="C31" i="2"/>
  <c r="B32" i="2"/>
  <c r="C32" i="2" s="1"/>
  <c r="C25" i="1" l="1"/>
  <c r="F25" i="1" s="1"/>
  <c r="M25" i="1" l="1"/>
  <c r="E10" i="3" s="1"/>
  <c r="E12" i="3" s="1"/>
  <c r="C26" i="1"/>
  <c r="F26" i="1" s="1"/>
  <c r="C27" i="1" l="1"/>
  <c r="F27" i="1" s="1"/>
  <c r="M27" i="1" l="1"/>
  <c r="F10" i="3" s="1"/>
  <c r="F12" i="3" s="1"/>
  <c r="C28" i="1"/>
  <c r="F28" i="1" s="1"/>
  <c r="C29" i="1" l="1"/>
  <c r="F29" i="1" s="1"/>
  <c r="C30" i="1" l="1"/>
  <c r="F30" i="1" s="1"/>
  <c r="M29" i="1"/>
  <c r="G10" i="3" s="1"/>
  <c r="G12" i="3" s="1"/>
</calcChain>
</file>

<file path=xl/sharedStrings.xml><?xml version="1.0" encoding="utf-8"?>
<sst xmlns="http://schemas.openxmlformats.org/spreadsheetml/2006/main" count="43" uniqueCount="36">
  <si>
    <t>№ п/п</t>
  </si>
  <si>
    <t>Задолженность на начало периода, руб.</t>
  </si>
  <si>
    <t>Выдано в текущем периоде, руб.</t>
  </si>
  <si>
    <t>Остаток займа</t>
  </si>
  <si>
    <t>Период начисления процентов</t>
  </si>
  <si>
    <t>Процентная ставка за пользование кредитом, % годовых</t>
  </si>
  <si>
    <t>Сумма начисленных процентов на период, руб.</t>
  </si>
  <si>
    <t>с</t>
  </si>
  <si>
    <t>по</t>
  </si>
  <si>
    <t>всего дней</t>
  </si>
  <si>
    <t>Погашено в текущем периоде, руб.</t>
  </si>
  <si>
    <t>расчет доли обеспечения</t>
  </si>
  <si>
    <t xml:space="preserve">доля </t>
  </si>
  <si>
    <t>стоимость акций ДУК</t>
  </si>
  <si>
    <t>обеспечение</t>
  </si>
  <si>
    <t>остаток</t>
  </si>
  <si>
    <t>общее количество ценных бумаг, шт</t>
  </si>
  <si>
    <t>кол-во цб переданных в залог</t>
  </si>
  <si>
    <t>остаток долга, руб.</t>
  </si>
  <si>
    <t>кол-во акций для залога</t>
  </si>
  <si>
    <t>кол-во акций для освобождения от залога</t>
  </si>
  <si>
    <t>вариант 2</t>
  </si>
  <si>
    <t>вариант 3</t>
  </si>
  <si>
    <t>стоимость одной акции</t>
  </si>
  <si>
    <t>ЧП</t>
  </si>
  <si>
    <t>прибыль к распределению</t>
  </si>
  <si>
    <t>доля владению</t>
  </si>
  <si>
    <t>доля ДУК</t>
  </si>
  <si>
    <t>долг на начало года</t>
  </si>
  <si>
    <t>погашение</t>
  </si>
  <si>
    <t>долг на конец года</t>
  </si>
  <si>
    <t>проценты к погашению</t>
  </si>
  <si>
    <t>остаток %</t>
  </si>
  <si>
    <t>прочее</t>
  </si>
  <si>
    <t>остаток по соглашению на 30.06.2024, руб.</t>
  </si>
  <si>
    <t>оценка 100% пакета акций ТГК-14 на 31.12.2023,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</si>
</sst>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0000000%"/>
    <numFmt numFmtId="166" formatCode="#,##0.0000"/>
    <numFmt numFmtId="167" formatCode="#,##0_ ;[Red]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/>
    <xf numFmtId="4" fontId="0" fillId="0" borderId="4" xfId="1" applyNumberFormat="1" applyFont="1" applyBorder="1"/>
    <xf numFmtId="4" fontId="3" fillId="0" borderId="4" xfId="0" applyNumberFormat="1" applyFont="1" applyBorder="1"/>
    <xf numFmtId="14" fontId="3" fillId="0" borderId="4" xfId="0" applyNumberFormat="1" applyFont="1" applyBorder="1"/>
    <xf numFmtId="10" fontId="3" fillId="0" borderId="4" xfId="0" applyNumberFormat="1" applyFont="1" applyBorder="1"/>
    <xf numFmtId="0" fontId="2" fillId="0" borderId="0" xfId="0" applyFont="1"/>
    <xf numFmtId="4" fontId="3" fillId="2" borderId="4" xfId="0" applyNumberFormat="1" applyFont="1" applyFill="1" applyBorder="1"/>
    <xf numFmtId="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0" fontId="4" fillId="0" borderId="0" xfId="0" applyFont="1"/>
    <xf numFmtId="166" fontId="0" fillId="0" borderId="0" xfId="0" applyNumberFormat="1"/>
    <xf numFmtId="3" fontId="0" fillId="0" borderId="0" xfId="0" applyNumberFormat="1"/>
    <xf numFmtId="10" fontId="0" fillId="0" borderId="0" xfId="0" applyNumberFormat="1"/>
    <xf numFmtId="14" fontId="0" fillId="0" borderId="0" xfId="0" applyNumberFormat="1"/>
    <xf numFmtId="4" fontId="0" fillId="3" borderId="0" xfId="0" applyNumberFormat="1" applyFill="1"/>
    <xf numFmtId="4" fontId="3" fillId="3" borderId="4" xfId="0" applyNumberFormat="1" applyFont="1" applyFill="1" applyBorder="1"/>
    <xf numFmtId="167" fontId="4" fillId="0" borderId="0" xfId="0" applyNumberFormat="1" applyFont="1"/>
    <xf numFmtId="4" fontId="0" fillId="0" borderId="8" xfId="1" applyNumberFormat="1" applyFont="1" applyBorder="1"/>
    <xf numFmtId="10" fontId="4" fillId="0" borderId="0" xfId="2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59;&#1050;\&#1076;&#1086;&#1075;&#1086;&#1074;&#1086;&#1088;%20&#1079;&#1072;&#1081;&#1084;&#1072;\8.%20&#1087;&#1086;&#1075;&#1072;&#1096;&#1077;&#1085;&#1080;&#1077;\&#1056;&#1077;&#1077;&#1089;&#1090;&#1088;%20&#1087;&#1086;&#1075;&#1072;&#1096;&#1077;&#1085;&#1080;&#1081;%20&#1087;&#1086;%20&#1079;&#1072;&#1081;&#1084;&#1072;&#1084;%20&#1044;&#1059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59;&#1050;\&#1058;&#1043;&#1050;-14\&#1055;&#1088;&#1086;&#1077;&#1082;&#1090;&#1099;\01_&#1059;&#1059;&#1058;&#1069;&#1062;-2\1.&#1060;&#1052;\&#1060;&#1069;&#1052;%2065%20&#1084;&#1074;&#1090;\01.02.2024_&#1060;&#1052;_&#1058;&#1043;&#1050;14_&#1086;&#1090;&#1087;&#1088;&#1072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F9">
            <v>96552204.069999993</v>
          </cell>
        </row>
        <row r="16">
          <cell r="C16">
            <v>45163</v>
          </cell>
          <cell r="F16">
            <v>30198027.940000001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ложка"/>
      <sheetName val="Изменения"/>
      <sheetName val="Макропрогноз"/>
      <sheetName val="Модель КОМмод"/>
      <sheetName val="Модель КОМНГО"/>
      <sheetName val="Модель консолид."/>
      <sheetName val="Ключевые показатели"/>
      <sheetName val="Рейтинг"/>
      <sheetName val="Цена КОМмод"/>
      <sheetName val="Цена КОМНГО"/>
      <sheetName val="Свод по КОММ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7">
          <cell r="L147">
            <v>1526.6713209615446</v>
          </cell>
          <cell r="M147">
            <v>1446.9695063503691</v>
          </cell>
          <cell r="N147">
            <v>850.26762521442697</v>
          </cell>
          <cell r="O147">
            <v>685.59836368498645</v>
          </cell>
          <cell r="P147">
            <v>1132.5639522003064</v>
          </cell>
          <cell r="Q147">
            <v>1322.71065264809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opLeftCell="A8" workbookViewId="0">
      <selection activeCell="F21" sqref="F21"/>
    </sheetView>
  </sheetViews>
  <sheetFormatPr defaultRowHeight="15" x14ac:dyDescent="0.25"/>
  <cols>
    <col min="2" max="2" width="6.85546875" bestFit="1" customWidth="1"/>
    <col min="3" max="6" width="17.5703125" customWidth="1"/>
    <col min="7" max="7" width="10.42578125" customWidth="1"/>
    <col min="8" max="8" width="10.7109375" customWidth="1"/>
    <col min="9" max="9" width="10.85546875" bestFit="1" customWidth="1"/>
    <col min="10" max="11" width="17.5703125" customWidth="1"/>
    <col min="12" max="13" width="13" bestFit="1" customWidth="1"/>
  </cols>
  <sheetData>
    <row r="1" spans="2:13" ht="15.75" thickBot="1" x14ac:dyDescent="0.3"/>
    <row r="2" spans="2:13" x14ac:dyDescent="0.25">
      <c r="B2" s="25" t="s">
        <v>0</v>
      </c>
      <c r="C2" s="23" t="s">
        <v>1</v>
      </c>
      <c r="D2" s="23" t="s">
        <v>2</v>
      </c>
      <c r="E2" s="23" t="s">
        <v>10</v>
      </c>
      <c r="F2" s="27" t="s">
        <v>3</v>
      </c>
      <c r="G2" s="23" t="s">
        <v>4</v>
      </c>
      <c r="H2" s="23"/>
      <c r="I2" s="23"/>
      <c r="J2" s="23" t="s">
        <v>5</v>
      </c>
      <c r="K2" s="23" t="s">
        <v>6</v>
      </c>
    </row>
    <row r="3" spans="2:13" s="1" customFormat="1" ht="30" x14ac:dyDescent="0.25">
      <c r="B3" s="26"/>
      <c r="C3" s="24"/>
      <c r="D3" s="24"/>
      <c r="E3" s="24"/>
      <c r="F3" s="28"/>
      <c r="G3" s="2" t="s">
        <v>7</v>
      </c>
      <c r="H3" s="2" t="s">
        <v>8</v>
      </c>
      <c r="I3" s="2" t="s">
        <v>9</v>
      </c>
      <c r="J3" s="24"/>
      <c r="K3" s="24"/>
      <c r="L3" s="1" t="s">
        <v>29</v>
      </c>
      <c r="M3" s="1" t="s">
        <v>32</v>
      </c>
    </row>
    <row r="4" spans="2:13" x14ac:dyDescent="0.25">
      <c r="B4" s="3">
        <v>1</v>
      </c>
      <c r="C4" s="4">
        <v>2700000000</v>
      </c>
      <c r="D4" s="4">
        <v>100000000</v>
      </c>
      <c r="E4" s="5">
        <v>0</v>
      </c>
      <c r="F4" s="5">
        <f t="shared" ref="F4:F19" si="0">C4+D4-E4</f>
        <v>2800000000</v>
      </c>
      <c r="G4" s="6">
        <v>45007</v>
      </c>
      <c r="H4" s="6">
        <v>45016</v>
      </c>
      <c r="I4" s="3">
        <f>H4-G4</f>
        <v>9</v>
      </c>
      <c r="J4" s="7">
        <f>10.09%+0.05%</f>
        <v>0.1014</v>
      </c>
      <c r="K4" s="5">
        <f>ROUND(J4*C4*I4/365,2)</f>
        <v>6750739.7300000004</v>
      </c>
    </row>
    <row r="5" spans="2:13" x14ac:dyDescent="0.25">
      <c r="B5" s="3">
        <v>2</v>
      </c>
      <c r="C5" s="4">
        <f t="shared" ref="C5:C19" si="1">F4</f>
        <v>2800000000</v>
      </c>
      <c r="D5" s="4">
        <v>99522050.400000006</v>
      </c>
      <c r="E5" s="5">
        <v>0</v>
      </c>
      <c r="F5" s="5">
        <f t="shared" si="0"/>
        <v>2899522050.4000001</v>
      </c>
      <c r="G5" s="6">
        <f t="shared" ref="G5:G19" si="2">H4+1</f>
        <v>45017</v>
      </c>
      <c r="H5" s="6">
        <v>45020</v>
      </c>
      <c r="I5" s="3">
        <f t="shared" ref="I5:I19" si="3">H5-G5+1</f>
        <v>4</v>
      </c>
      <c r="J5" s="7">
        <f>8.98%+0.05%</f>
        <v>9.0300000000000005E-2</v>
      </c>
      <c r="K5" s="5">
        <f t="shared" ref="K5:K6" si="4">ROUND(J5*C5*I5/365,2)</f>
        <v>2770849.32</v>
      </c>
    </row>
    <row r="6" spans="2:13" x14ac:dyDescent="0.25">
      <c r="B6" s="3">
        <v>3</v>
      </c>
      <c r="C6" s="4">
        <f t="shared" si="1"/>
        <v>2899522050.4000001</v>
      </c>
      <c r="D6" s="4">
        <v>80799629.060000002</v>
      </c>
      <c r="E6" s="5">
        <v>0</v>
      </c>
      <c r="F6" s="5">
        <f t="shared" si="0"/>
        <v>2980321679.46</v>
      </c>
      <c r="G6" s="6">
        <f t="shared" si="2"/>
        <v>45021</v>
      </c>
      <c r="H6" s="6">
        <v>45022</v>
      </c>
      <c r="I6" s="3">
        <f t="shared" si="3"/>
        <v>2</v>
      </c>
      <c r="J6" s="7">
        <f>8.98%+0.05%</f>
        <v>9.0300000000000005E-2</v>
      </c>
      <c r="K6" s="5">
        <f t="shared" si="4"/>
        <v>1434667.62</v>
      </c>
    </row>
    <row r="7" spans="2:13" x14ac:dyDescent="0.25">
      <c r="B7" s="3">
        <v>4</v>
      </c>
      <c r="C7" s="4">
        <f t="shared" si="1"/>
        <v>2980321679.46</v>
      </c>
      <c r="D7" s="4">
        <v>245765531.55000001</v>
      </c>
      <c r="E7" s="5">
        <v>0</v>
      </c>
      <c r="F7" s="5">
        <f t="shared" si="0"/>
        <v>3226087211.0100002</v>
      </c>
      <c r="G7" s="6">
        <f t="shared" si="2"/>
        <v>45023</v>
      </c>
      <c r="H7" s="6">
        <v>45043</v>
      </c>
      <c r="I7" s="3">
        <f t="shared" si="3"/>
        <v>21</v>
      </c>
      <c r="J7" s="7">
        <f>8.98%+0.05%</f>
        <v>9.0300000000000005E-2</v>
      </c>
      <c r="K7" s="5">
        <f t="shared" ref="K7" si="5">ROUND(J7*C7*I7/365,2)</f>
        <v>15483791.779999999</v>
      </c>
    </row>
    <row r="8" spans="2:13" x14ac:dyDescent="0.25">
      <c r="B8" s="3">
        <v>5</v>
      </c>
      <c r="C8" s="4">
        <f t="shared" si="1"/>
        <v>3226087211.0100002</v>
      </c>
      <c r="D8" s="4">
        <v>0</v>
      </c>
      <c r="E8" s="5">
        <v>0</v>
      </c>
      <c r="F8" s="5">
        <f t="shared" si="0"/>
        <v>3226087211.0100002</v>
      </c>
      <c r="G8" s="6">
        <f t="shared" si="2"/>
        <v>45044</v>
      </c>
      <c r="H8" s="6">
        <v>45046</v>
      </c>
      <c r="I8" s="3">
        <f t="shared" si="3"/>
        <v>3</v>
      </c>
      <c r="J8" s="7">
        <f>8.98%+0.05%</f>
        <v>9.0300000000000005E-2</v>
      </c>
      <c r="K8" s="5">
        <f t="shared" ref="K8" si="6">ROUND(J8*C8*I8/365,2)</f>
        <v>2394375.41</v>
      </c>
    </row>
    <row r="9" spans="2:13" x14ac:dyDescent="0.25">
      <c r="B9" s="3">
        <v>6</v>
      </c>
      <c r="C9" s="4">
        <f t="shared" si="1"/>
        <v>3226087211.0100002</v>
      </c>
      <c r="D9" s="4">
        <v>0</v>
      </c>
      <c r="E9" s="5">
        <v>0</v>
      </c>
      <c r="F9" s="5">
        <f t="shared" si="0"/>
        <v>3226087211.0100002</v>
      </c>
      <c r="G9" s="6">
        <f t="shared" si="2"/>
        <v>45047</v>
      </c>
      <c r="H9" s="6">
        <v>45077</v>
      </c>
      <c r="I9" s="3">
        <f t="shared" si="3"/>
        <v>31</v>
      </c>
      <c r="J9" s="7">
        <f>12.51%+0.05%</f>
        <v>0.12559999999999999</v>
      </c>
      <c r="K9" s="5">
        <f t="shared" ref="K9" si="7">ROUND(J9*C9*I9/365,2)</f>
        <v>34413953.880000003</v>
      </c>
    </row>
    <row r="10" spans="2:13" x14ac:dyDescent="0.25">
      <c r="B10" s="3">
        <v>7</v>
      </c>
      <c r="C10" s="4">
        <f t="shared" si="1"/>
        <v>3226087211.0100002</v>
      </c>
      <c r="D10" s="4">
        <v>0</v>
      </c>
      <c r="E10" s="5">
        <v>317466000</v>
      </c>
      <c r="F10" s="5">
        <f t="shared" si="0"/>
        <v>2908621211.0100002</v>
      </c>
      <c r="G10" s="6">
        <f t="shared" si="2"/>
        <v>45078</v>
      </c>
      <c r="H10" s="6">
        <v>45105</v>
      </c>
      <c r="I10" s="3">
        <f t="shared" si="3"/>
        <v>28</v>
      </c>
      <c r="J10" s="7">
        <f>12.4%+0.05%</f>
        <v>0.1245</v>
      </c>
      <c r="K10" s="5">
        <f t="shared" ref="K10" si="8">ROUND(J10*C10*I10/365,2)</f>
        <v>30811342.510000002</v>
      </c>
      <c r="L10" s="10">
        <f>[1]Лист1!$F$9</f>
        <v>96552204.069999993</v>
      </c>
      <c r="M10" s="17">
        <v>45105</v>
      </c>
    </row>
    <row r="11" spans="2:13" x14ac:dyDescent="0.25">
      <c r="B11" s="3">
        <v>8</v>
      </c>
      <c r="C11" s="4">
        <f t="shared" si="1"/>
        <v>2908621211.0100002</v>
      </c>
      <c r="D11" s="4">
        <v>0</v>
      </c>
      <c r="E11" s="5">
        <v>0</v>
      </c>
      <c r="F11" s="5">
        <f t="shared" si="0"/>
        <v>2908621211.0100002</v>
      </c>
      <c r="G11" s="6">
        <f t="shared" si="2"/>
        <v>45106</v>
      </c>
      <c r="H11" s="6">
        <v>45107</v>
      </c>
      <c r="I11" s="3">
        <f t="shared" si="3"/>
        <v>2</v>
      </c>
      <c r="J11" s="7">
        <f>12.4%+0.05%</f>
        <v>0.1245</v>
      </c>
      <c r="K11" s="5">
        <f t="shared" ref="K11" si="9">ROUND(J11*C11*I11/365,2)</f>
        <v>1984237.48</v>
      </c>
    </row>
    <row r="12" spans="2:13" x14ac:dyDescent="0.25">
      <c r="B12" s="3">
        <v>9</v>
      </c>
      <c r="C12" s="4">
        <f t="shared" si="1"/>
        <v>2908621211.0100002</v>
      </c>
      <c r="D12" s="4">
        <v>0</v>
      </c>
      <c r="E12" s="5">
        <v>0</v>
      </c>
      <c r="F12" s="5">
        <f t="shared" si="0"/>
        <v>2908621211.0100002</v>
      </c>
      <c r="G12" s="6">
        <f t="shared" si="2"/>
        <v>45108</v>
      </c>
      <c r="H12" s="6">
        <v>45138</v>
      </c>
      <c r="I12" s="3">
        <f t="shared" si="3"/>
        <v>31</v>
      </c>
      <c r="J12" s="7">
        <f>12.38%+0.05%</f>
        <v>0.12430000000000001</v>
      </c>
      <c r="K12" s="5">
        <f t="shared" ref="K12" si="10">ROUND(J12*C12*I12/365,2)</f>
        <v>30706274.280000001</v>
      </c>
    </row>
    <row r="13" spans="2:13" x14ac:dyDescent="0.25">
      <c r="B13" s="3">
        <v>10</v>
      </c>
      <c r="C13" s="4">
        <f t="shared" si="1"/>
        <v>2908621211.0100002</v>
      </c>
      <c r="D13" s="4">
        <v>0</v>
      </c>
      <c r="E13" s="5">
        <v>370000000</v>
      </c>
      <c r="F13" s="5">
        <f t="shared" si="0"/>
        <v>2538621211.0100002</v>
      </c>
      <c r="G13" s="6">
        <f t="shared" si="2"/>
        <v>45139</v>
      </c>
      <c r="H13" s="6">
        <v>45163</v>
      </c>
      <c r="I13" s="3">
        <f t="shared" si="3"/>
        <v>25</v>
      </c>
      <c r="J13" s="7">
        <f>13.23%+0.05%</f>
        <v>0.1328</v>
      </c>
      <c r="K13" s="5">
        <f t="shared" ref="K13" si="11">ROUND(J13*C13*I13/365,2)</f>
        <v>26456499.780000001</v>
      </c>
      <c r="L13" s="10">
        <f>[1]Лист1!$F$16</f>
        <v>30198027.940000001</v>
      </c>
      <c r="M13" s="17">
        <f>[1]Лист1!$C$16</f>
        <v>45163</v>
      </c>
    </row>
    <row r="14" spans="2:13" x14ac:dyDescent="0.25">
      <c r="B14" s="3">
        <v>11</v>
      </c>
      <c r="C14" s="4">
        <f t="shared" si="1"/>
        <v>2538621211.0100002</v>
      </c>
      <c r="D14" s="4">
        <v>0</v>
      </c>
      <c r="E14" s="5">
        <v>0</v>
      </c>
      <c r="F14" s="5">
        <f t="shared" si="0"/>
        <v>2538621211.0100002</v>
      </c>
      <c r="G14" s="6">
        <f t="shared" si="2"/>
        <v>45164</v>
      </c>
      <c r="H14" s="6">
        <v>45169</v>
      </c>
      <c r="I14" s="3">
        <f t="shared" si="3"/>
        <v>6</v>
      </c>
      <c r="J14" s="7">
        <f>13.23%+0.05%</f>
        <v>0.1328</v>
      </c>
      <c r="K14" s="5">
        <f t="shared" ref="K14" si="12">ROUND(J14*C14*I14/365,2)</f>
        <v>5541844.8799999999</v>
      </c>
    </row>
    <row r="15" spans="2:13" x14ac:dyDescent="0.25">
      <c r="B15" s="3">
        <v>12</v>
      </c>
      <c r="C15" s="4">
        <f t="shared" si="1"/>
        <v>2538621211.0100002</v>
      </c>
      <c r="D15" s="4">
        <v>0</v>
      </c>
      <c r="E15" s="5">
        <v>10000000</v>
      </c>
      <c r="F15" s="5">
        <f t="shared" si="0"/>
        <v>2528621211.0100002</v>
      </c>
      <c r="G15" s="6">
        <f t="shared" si="2"/>
        <v>45170</v>
      </c>
      <c r="H15" s="6">
        <v>45173</v>
      </c>
      <c r="I15" s="3">
        <f t="shared" si="3"/>
        <v>4</v>
      </c>
      <c r="J15" s="7">
        <f>13.46%+0.05%</f>
        <v>0.1351</v>
      </c>
      <c r="K15" s="5">
        <f>ROUND(J15*C15*I15/365,2)</f>
        <v>3758550.42</v>
      </c>
    </row>
    <row r="16" spans="2:13" x14ac:dyDescent="0.25">
      <c r="B16" s="3">
        <v>13</v>
      </c>
      <c r="C16" s="4">
        <f t="shared" si="1"/>
        <v>2528621211.0100002</v>
      </c>
      <c r="D16" s="4">
        <v>0</v>
      </c>
      <c r="E16" s="5">
        <v>0</v>
      </c>
      <c r="F16" s="5">
        <f t="shared" si="0"/>
        <v>2528621211.0100002</v>
      </c>
      <c r="G16" s="6">
        <f t="shared" si="2"/>
        <v>45174</v>
      </c>
      <c r="H16" s="6">
        <v>45199</v>
      </c>
      <c r="I16" s="3">
        <f t="shared" si="3"/>
        <v>26</v>
      </c>
      <c r="J16" s="7">
        <f>13.46%+0.05%</f>
        <v>0.1351</v>
      </c>
      <c r="K16" s="5">
        <f t="shared" ref="K16" si="13">ROUND(J16*C16*I16/365,2)</f>
        <v>24334342.100000001</v>
      </c>
    </row>
    <row r="17" spans="2:13" x14ac:dyDescent="0.25">
      <c r="B17" s="3">
        <v>14</v>
      </c>
      <c r="C17" s="4">
        <f t="shared" si="1"/>
        <v>2528621211.0100002</v>
      </c>
      <c r="D17" s="4">
        <v>0</v>
      </c>
      <c r="E17" s="5">
        <v>0</v>
      </c>
      <c r="F17" s="5">
        <f t="shared" si="0"/>
        <v>2528621211.0100002</v>
      </c>
      <c r="G17" s="6">
        <f t="shared" si="2"/>
        <v>45200</v>
      </c>
      <c r="H17" s="6">
        <f>EOMONTH(G17,0)</f>
        <v>45230</v>
      </c>
      <c r="I17" s="3">
        <f t="shared" si="3"/>
        <v>31</v>
      </c>
      <c r="J17" s="7">
        <f>13.88%+0.05%</f>
        <v>0.13930000000000001</v>
      </c>
      <c r="K17" s="5">
        <f t="shared" ref="K17" si="14">ROUND(J17*C17*I17/365,2)</f>
        <v>29916013.629999999</v>
      </c>
    </row>
    <row r="18" spans="2:13" x14ac:dyDescent="0.25">
      <c r="B18" s="3">
        <v>15</v>
      </c>
      <c r="C18" s="4">
        <f t="shared" si="1"/>
        <v>2528621211.0100002</v>
      </c>
      <c r="D18" s="4">
        <v>0</v>
      </c>
      <c r="E18" s="5">
        <v>0</v>
      </c>
      <c r="F18" s="5">
        <f t="shared" si="0"/>
        <v>2528621211.0100002</v>
      </c>
      <c r="G18" s="6">
        <f t="shared" si="2"/>
        <v>45231</v>
      </c>
      <c r="H18" s="6">
        <f>EOMONTH(G18,0)</f>
        <v>45260</v>
      </c>
      <c r="I18" s="3">
        <f t="shared" si="3"/>
        <v>30</v>
      </c>
      <c r="J18" s="7">
        <f>13.79%+0.05%</f>
        <v>0.1384</v>
      </c>
      <c r="K18" s="5">
        <f t="shared" ref="K18" si="15">ROUND(J18*C18*I18/365,2)</f>
        <v>28763932.239999998</v>
      </c>
    </row>
    <row r="19" spans="2:13" x14ac:dyDescent="0.25">
      <c r="B19" s="3">
        <v>16</v>
      </c>
      <c r="C19" s="4">
        <f t="shared" si="1"/>
        <v>2528621211.0100002</v>
      </c>
      <c r="D19" s="4">
        <v>0</v>
      </c>
      <c r="E19" s="5">
        <v>0</v>
      </c>
      <c r="F19" s="9">
        <f t="shared" si="0"/>
        <v>2528621211.0100002</v>
      </c>
      <c r="G19" s="6">
        <f t="shared" si="2"/>
        <v>45261</v>
      </c>
      <c r="H19" s="6">
        <v>45291</v>
      </c>
      <c r="I19" s="3">
        <f t="shared" si="3"/>
        <v>31</v>
      </c>
      <c r="J19" s="7">
        <f>13.98%+0.05%</f>
        <v>0.14030000000000001</v>
      </c>
      <c r="K19" s="5">
        <f t="shared" ref="K19" si="16">ROUND(J19*C19*I19/365,2)</f>
        <v>30130773.239999998</v>
      </c>
    </row>
    <row r="20" spans="2:13" x14ac:dyDescent="0.25">
      <c r="B20" s="3">
        <v>17</v>
      </c>
      <c r="C20" s="4">
        <f t="shared" ref="C20" si="17">F19</f>
        <v>2528621211.0100002</v>
      </c>
      <c r="D20" s="4">
        <v>0</v>
      </c>
      <c r="E20" s="4">
        <v>638000000</v>
      </c>
      <c r="F20" s="9">
        <f>C20+D20-E20</f>
        <v>1890621211.0100002</v>
      </c>
      <c r="G20" s="6">
        <f t="shared" ref="G20" si="18">H19+1</f>
        <v>45292</v>
      </c>
      <c r="H20" s="6">
        <v>45449</v>
      </c>
      <c r="I20" s="3">
        <f t="shared" ref="I20" si="19">H20-G20+1</f>
        <v>158</v>
      </c>
      <c r="J20" s="7">
        <f>13.98%+0.05%</f>
        <v>0.14030000000000001</v>
      </c>
      <c r="K20" s="5">
        <f>ROUND(J20*C20*I20/365,2)</f>
        <v>153569747.49000001</v>
      </c>
      <c r="L20" s="10">
        <f>M20</f>
        <v>302471703.78000003</v>
      </c>
      <c r="M20" s="18">
        <f>SUM(K4:K20)-L10-L13</f>
        <v>302471703.78000003</v>
      </c>
    </row>
    <row r="21" spans="2:13" s="8" customFormat="1" x14ac:dyDescent="0.25">
      <c r="B21" s="3">
        <v>18</v>
      </c>
      <c r="C21" s="4">
        <f t="shared" ref="C21:C30" si="20">F20</f>
        <v>1890621211.0100002</v>
      </c>
      <c r="D21" s="4">
        <v>0</v>
      </c>
      <c r="E21" s="21">
        <v>16000000</v>
      </c>
      <c r="F21" s="9">
        <f t="shared" ref="F21:F30" si="21">C21+D21-E21</f>
        <v>1874621211.0100002</v>
      </c>
      <c r="G21" s="6">
        <f>H20+1</f>
        <v>45450</v>
      </c>
      <c r="H21" s="6">
        <v>45453</v>
      </c>
      <c r="I21" s="3">
        <f t="shared" ref="I21:I30" si="22">H21-G21+1</f>
        <v>4</v>
      </c>
      <c r="J21" s="7">
        <f t="shared" ref="J21:J30" si="23">13.98%+0.05%</f>
        <v>0.14030000000000001</v>
      </c>
      <c r="K21" s="5">
        <f t="shared" ref="K21:K30" si="24">ROUND(J21*C21*I21/365,2)</f>
        <v>2906894.86</v>
      </c>
    </row>
    <row r="22" spans="2:13" s="8" customFormat="1" x14ac:dyDescent="0.25">
      <c r="B22" s="3">
        <v>19</v>
      </c>
      <c r="C22" s="4">
        <f t="shared" si="20"/>
        <v>1874621211.0100002</v>
      </c>
      <c r="D22" s="4">
        <v>0</v>
      </c>
      <c r="E22" s="21"/>
      <c r="F22" s="9">
        <f t="shared" si="21"/>
        <v>1874621211.0100002</v>
      </c>
      <c r="G22" s="6">
        <f t="shared" ref="G22:G30" si="25">H21+1</f>
        <v>45454</v>
      </c>
      <c r="H22" s="6">
        <v>45899</v>
      </c>
      <c r="I22" s="3">
        <f t="shared" si="22"/>
        <v>446</v>
      </c>
      <c r="J22" s="7">
        <f t="shared" si="23"/>
        <v>0.14030000000000001</v>
      </c>
      <c r="K22" s="5">
        <f t="shared" si="24"/>
        <v>321375815.70999998</v>
      </c>
    </row>
    <row r="23" spans="2:13" x14ac:dyDescent="0.25">
      <c r="B23" s="3">
        <v>20</v>
      </c>
      <c r="C23" s="4">
        <f t="shared" si="20"/>
        <v>1874621211.0100002</v>
      </c>
      <c r="D23" s="4">
        <v>0</v>
      </c>
      <c r="E23" s="19">
        <f>Лист2!D8*1000</f>
        <v>600000000</v>
      </c>
      <c r="F23" s="9">
        <f t="shared" si="21"/>
        <v>1274621211.0100002</v>
      </c>
      <c r="G23" s="6">
        <f t="shared" si="25"/>
        <v>45900</v>
      </c>
      <c r="H23" s="6">
        <v>46022</v>
      </c>
      <c r="I23" s="3">
        <f t="shared" si="22"/>
        <v>123</v>
      </c>
      <c r="J23" s="7">
        <f t="shared" si="23"/>
        <v>0.14030000000000001</v>
      </c>
      <c r="K23" s="5">
        <f t="shared" si="24"/>
        <v>88630550.069999993</v>
      </c>
      <c r="M23" s="18">
        <f>K21+K23</f>
        <v>91537444.929999992</v>
      </c>
    </row>
    <row r="24" spans="2:13" x14ac:dyDescent="0.25">
      <c r="B24" s="3">
        <v>21</v>
      </c>
      <c r="C24" s="4">
        <f t="shared" si="20"/>
        <v>1274621211.0100002</v>
      </c>
      <c r="D24" s="4">
        <v>0</v>
      </c>
      <c r="E24" s="5">
        <v>0</v>
      </c>
      <c r="F24" s="9">
        <f t="shared" si="21"/>
        <v>1274621211.0100002</v>
      </c>
      <c r="G24" s="6">
        <f t="shared" si="25"/>
        <v>46023</v>
      </c>
      <c r="H24" s="6">
        <v>46264</v>
      </c>
      <c r="I24" s="3">
        <f t="shared" si="22"/>
        <v>242</v>
      </c>
      <c r="J24" s="7">
        <f t="shared" si="23"/>
        <v>0.14030000000000001</v>
      </c>
      <c r="K24" s="5">
        <f t="shared" si="24"/>
        <v>118566312.68000001</v>
      </c>
    </row>
    <row r="25" spans="2:13" x14ac:dyDescent="0.25">
      <c r="B25" s="3">
        <v>22</v>
      </c>
      <c r="C25" s="4">
        <f t="shared" si="20"/>
        <v>1274621211.0100002</v>
      </c>
      <c r="D25" s="4">
        <v>0</v>
      </c>
      <c r="E25" s="19">
        <f>Лист2!E8*1000</f>
        <v>300000000</v>
      </c>
      <c r="F25" s="9">
        <f t="shared" si="21"/>
        <v>974621211.01000023</v>
      </c>
      <c r="G25" s="6">
        <f t="shared" si="25"/>
        <v>46265</v>
      </c>
      <c r="H25" s="6">
        <v>46387</v>
      </c>
      <c r="I25" s="3">
        <f t="shared" si="22"/>
        <v>123</v>
      </c>
      <c r="J25" s="7">
        <f t="shared" si="23"/>
        <v>0.14030000000000001</v>
      </c>
      <c r="K25" s="5">
        <f t="shared" si="24"/>
        <v>60263043.219999999</v>
      </c>
      <c r="M25" s="18">
        <f>K24+K25</f>
        <v>178829355.90000001</v>
      </c>
    </row>
    <row r="26" spans="2:13" x14ac:dyDescent="0.25">
      <c r="B26" s="3">
        <v>23</v>
      </c>
      <c r="C26" s="4">
        <f t="shared" si="20"/>
        <v>974621211.01000023</v>
      </c>
      <c r="D26" s="4">
        <v>0</v>
      </c>
      <c r="E26" s="5">
        <v>0</v>
      </c>
      <c r="F26" s="9">
        <f t="shared" si="21"/>
        <v>974621211.01000023</v>
      </c>
      <c r="G26" s="6">
        <f t="shared" si="25"/>
        <v>46388</v>
      </c>
      <c r="H26" s="6">
        <v>46629</v>
      </c>
      <c r="I26" s="3">
        <f t="shared" si="22"/>
        <v>242</v>
      </c>
      <c r="J26" s="7">
        <f t="shared" si="23"/>
        <v>0.14030000000000001</v>
      </c>
      <c r="K26" s="5">
        <f t="shared" si="24"/>
        <v>90660066.109999999</v>
      </c>
    </row>
    <row r="27" spans="2:13" x14ac:dyDescent="0.25">
      <c r="B27" s="3">
        <v>24</v>
      </c>
      <c r="C27" s="4">
        <f t="shared" si="20"/>
        <v>974621211.01000023</v>
      </c>
      <c r="D27" s="4">
        <v>0</v>
      </c>
      <c r="E27" s="19">
        <f>Лист2!F8*1000</f>
        <v>200000000</v>
      </c>
      <c r="F27" s="9">
        <f t="shared" si="21"/>
        <v>774621211.01000023</v>
      </c>
      <c r="G27" s="6">
        <f t="shared" si="25"/>
        <v>46630</v>
      </c>
      <c r="H27" s="6">
        <v>46752</v>
      </c>
      <c r="I27" s="3">
        <f t="shared" si="22"/>
        <v>123</v>
      </c>
      <c r="J27" s="7">
        <f t="shared" si="23"/>
        <v>0.14030000000000001</v>
      </c>
      <c r="K27" s="5">
        <f t="shared" si="24"/>
        <v>46079289.799999997</v>
      </c>
      <c r="M27" s="18">
        <f>K26+K27</f>
        <v>136739355.91</v>
      </c>
    </row>
    <row r="28" spans="2:13" x14ac:dyDescent="0.25">
      <c r="B28" s="3">
        <v>25</v>
      </c>
      <c r="C28" s="4">
        <f t="shared" si="20"/>
        <v>774621211.01000023</v>
      </c>
      <c r="D28" s="4">
        <v>0</v>
      </c>
      <c r="E28" s="5">
        <v>0</v>
      </c>
      <c r="F28" s="9">
        <f t="shared" si="21"/>
        <v>774621211.01000023</v>
      </c>
      <c r="G28" s="6">
        <f t="shared" si="25"/>
        <v>46753</v>
      </c>
      <c r="H28" s="6">
        <v>46995</v>
      </c>
      <c r="I28" s="3">
        <f t="shared" si="22"/>
        <v>243</v>
      </c>
      <c r="J28" s="7">
        <f t="shared" si="23"/>
        <v>0.14030000000000001</v>
      </c>
      <c r="K28" s="5">
        <f t="shared" si="24"/>
        <v>72353653.379999995</v>
      </c>
    </row>
    <row r="29" spans="2:13" x14ac:dyDescent="0.25">
      <c r="B29" s="3">
        <v>26</v>
      </c>
      <c r="C29" s="4">
        <f t="shared" si="20"/>
        <v>774621211.01000023</v>
      </c>
      <c r="D29" s="4">
        <v>0</v>
      </c>
      <c r="E29" s="19">
        <f>Лист2!G8*1000</f>
        <v>500000000</v>
      </c>
      <c r="F29" s="9">
        <f t="shared" si="21"/>
        <v>274621211.01000023</v>
      </c>
      <c r="G29" s="6">
        <f t="shared" si="25"/>
        <v>46996</v>
      </c>
      <c r="H29" s="6">
        <v>47118</v>
      </c>
      <c r="I29" s="3">
        <f t="shared" si="22"/>
        <v>123</v>
      </c>
      <c r="J29" s="7">
        <f t="shared" si="23"/>
        <v>0.14030000000000001</v>
      </c>
      <c r="K29" s="5">
        <f t="shared" si="24"/>
        <v>36623454.18</v>
      </c>
      <c r="M29" s="18">
        <f>K28+K29</f>
        <v>108977107.56</v>
      </c>
    </row>
    <row r="30" spans="2:13" x14ac:dyDescent="0.25">
      <c r="B30" s="3">
        <v>27</v>
      </c>
      <c r="C30" s="4">
        <f t="shared" si="20"/>
        <v>274621211.01000023</v>
      </c>
      <c r="D30" s="4">
        <v>0</v>
      </c>
      <c r="E30" s="5">
        <v>0</v>
      </c>
      <c r="F30" s="9">
        <f t="shared" si="21"/>
        <v>274621211.01000023</v>
      </c>
      <c r="G30" s="6">
        <f t="shared" si="25"/>
        <v>47119</v>
      </c>
      <c r="H30" s="6">
        <v>47361</v>
      </c>
      <c r="I30" s="3">
        <f t="shared" si="22"/>
        <v>243</v>
      </c>
      <c r="J30" s="7">
        <f t="shared" si="23"/>
        <v>0.14030000000000001</v>
      </c>
      <c r="K30" s="5">
        <f t="shared" si="24"/>
        <v>25651050.640000001</v>
      </c>
    </row>
  </sheetData>
  <mergeCells count="8">
    <mergeCell ref="G2:I2"/>
    <mergeCell ref="J2:J3"/>
    <mergeCell ref="K2:K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45" customWidth="1"/>
    <col min="2" max="2" width="22.28515625" style="10" bestFit="1" customWidth="1"/>
    <col min="3" max="3" width="9.28515625" bestFit="1" customWidth="1"/>
  </cols>
  <sheetData>
    <row r="1" spans="1:2" x14ac:dyDescent="0.25">
      <c r="A1" s="8" t="s">
        <v>11</v>
      </c>
    </row>
    <row r="2" spans="1:2" x14ac:dyDescent="0.25">
      <c r="A2" s="8"/>
    </row>
    <row r="3" spans="1:2" x14ac:dyDescent="0.25">
      <c r="A3" t="s">
        <v>35</v>
      </c>
      <c r="B3" s="10">
        <v>20150000000</v>
      </c>
    </row>
    <row r="4" spans="1:2" hidden="1" x14ac:dyDescent="0.25">
      <c r="A4" t="s">
        <v>12</v>
      </c>
      <c r="B4" s="11">
        <v>0.92205300000000001</v>
      </c>
    </row>
    <row r="5" spans="1:2" hidden="1" x14ac:dyDescent="0.25">
      <c r="A5" t="s">
        <v>13</v>
      </c>
      <c r="B5" s="10">
        <f>B3*B4</f>
        <v>18579367950</v>
      </c>
    </row>
    <row r="7" spans="1:2" x14ac:dyDescent="0.25">
      <c r="A7" t="s">
        <v>34</v>
      </c>
      <c r="B7" s="10">
        <f>'29-23 от 28.04.2023'!F21</f>
        <v>1874621211.0100002</v>
      </c>
    </row>
    <row r="9" spans="1:2" x14ac:dyDescent="0.25">
      <c r="A9" t="s">
        <v>14</v>
      </c>
      <c r="B9" s="22">
        <f>(B7)/B3</f>
        <v>9.3033310720099266E-2</v>
      </c>
    </row>
    <row r="10" spans="1:2" hidden="1" x14ac:dyDescent="0.25">
      <c r="A10" t="s">
        <v>15</v>
      </c>
      <c r="B10" s="11">
        <f>B4-B9</f>
        <v>0.82901968927990077</v>
      </c>
    </row>
    <row r="11" spans="1:2" hidden="1" x14ac:dyDescent="0.25"/>
    <row r="14" spans="1:2" x14ac:dyDescent="0.25">
      <c r="A14" s="13" t="s">
        <v>21</v>
      </c>
    </row>
    <row r="15" spans="1:2" x14ac:dyDescent="0.25">
      <c r="A15" t="s">
        <v>16</v>
      </c>
      <c r="B15" s="10">
        <v>1357945609114</v>
      </c>
    </row>
    <row r="16" spans="1:2" x14ac:dyDescent="0.25">
      <c r="A16" t="s">
        <v>17</v>
      </c>
      <c r="B16" s="10">
        <v>331057662033</v>
      </c>
    </row>
    <row r="17" spans="1:3" x14ac:dyDescent="0.25">
      <c r="B17" s="12">
        <f>B16/B15</f>
        <v>0.2437930207300428</v>
      </c>
    </row>
    <row r="18" spans="1:3" x14ac:dyDescent="0.25">
      <c r="A18" t="s">
        <v>13</v>
      </c>
      <c r="B18" s="10">
        <f>B3*B17</f>
        <v>4912429367.7103624</v>
      </c>
    </row>
    <row r="20" spans="1:3" x14ac:dyDescent="0.25">
      <c r="A20" t="s">
        <v>18</v>
      </c>
      <c r="B20" s="10">
        <f>B7</f>
        <v>1874621211.0100002</v>
      </c>
    </row>
    <row r="21" spans="1:3" x14ac:dyDescent="0.25">
      <c r="A21" t="s">
        <v>19</v>
      </c>
      <c r="B21" s="10">
        <f>ROUND(B20/B3*B15,0)</f>
        <v>126334175794</v>
      </c>
      <c r="C21" s="22">
        <f>B21/B15</f>
        <v>9.3033310720322226E-2</v>
      </c>
    </row>
    <row r="22" spans="1:3" x14ac:dyDescent="0.25">
      <c r="A22" t="s">
        <v>20</v>
      </c>
      <c r="B22" s="10">
        <f>B16-B21</f>
        <v>204723486239</v>
      </c>
      <c r="C22" s="11">
        <f>B22/B15</f>
        <v>0.15075971000972058</v>
      </c>
    </row>
    <row r="25" spans="1:3" x14ac:dyDescent="0.25">
      <c r="A25" s="13" t="s">
        <v>22</v>
      </c>
    </row>
    <row r="26" spans="1:3" x14ac:dyDescent="0.25">
      <c r="A26" t="s">
        <v>16</v>
      </c>
      <c r="B26" s="10">
        <v>1357945609114</v>
      </c>
    </row>
    <row r="27" spans="1:3" x14ac:dyDescent="0.25">
      <c r="A27" t="s">
        <v>17</v>
      </c>
      <c r="B27" s="10">
        <v>331057662033</v>
      </c>
    </row>
    <row r="28" spans="1:3" x14ac:dyDescent="0.25">
      <c r="B28" s="12">
        <f>B27/B26</f>
        <v>0.2437930207300428</v>
      </c>
    </row>
    <row r="29" spans="1:3" x14ac:dyDescent="0.25">
      <c r="A29" t="s">
        <v>23</v>
      </c>
      <c r="B29" s="14">
        <f>B3/B26</f>
        <v>1.4838591372703795E-2</v>
      </c>
    </row>
    <row r="30" spans="1:3" x14ac:dyDescent="0.25">
      <c r="A30" t="s">
        <v>18</v>
      </c>
      <c r="B30" s="10">
        <f>B20</f>
        <v>1874621211.0100002</v>
      </c>
    </row>
    <row r="31" spans="1:3" x14ac:dyDescent="0.25">
      <c r="A31" t="s">
        <v>19</v>
      </c>
      <c r="B31" s="10">
        <f>ROUND(B30/B29,0)</f>
        <v>126334175794</v>
      </c>
      <c r="C31" s="22">
        <f>B31/B26</f>
        <v>9.3033310720322226E-2</v>
      </c>
    </row>
    <row r="32" spans="1:3" x14ac:dyDescent="0.25">
      <c r="A32" t="s">
        <v>20</v>
      </c>
      <c r="B32" s="10">
        <f>B27-B31</f>
        <v>204723486239</v>
      </c>
      <c r="C32" s="11">
        <f>B32/B26</f>
        <v>0.15075971000972058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H8" sqref="H8"/>
    </sheetView>
  </sheetViews>
  <sheetFormatPr defaultRowHeight="15" x14ac:dyDescent="0.25"/>
  <cols>
    <col min="1" max="1" width="32.85546875" customWidth="1"/>
    <col min="3" max="3" width="13" bestFit="1" customWidth="1"/>
    <col min="5" max="7" width="9.5703125" bestFit="1" customWidth="1"/>
  </cols>
  <sheetData>
    <row r="2" spans="1:8" x14ac:dyDescent="0.25">
      <c r="B2">
        <v>2023</v>
      </c>
      <c r="C2">
        <v>2024</v>
      </c>
      <c r="D2">
        <v>2025</v>
      </c>
      <c r="E2">
        <v>2026</v>
      </c>
      <c r="F2">
        <v>2027</v>
      </c>
      <c r="G2">
        <v>2028</v>
      </c>
      <c r="H2">
        <v>2029</v>
      </c>
    </row>
    <row r="3" spans="1:8" x14ac:dyDescent="0.25">
      <c r="A3" t="s">
        <v>24</v>
      </c>
      <c r="B3" s="15">
        <f>'[2]Ключевые показатели'!L$147*1000</f>
        <v>1526671.3209615445</v>
      </c>
      <c r="C3" s="15">
        <f>'[2]Ключевые показатели'!M$147*1000</f>
        <v>1446969.5063503692</v>
      </c>
      <c r="D3" s="15">
        <f>'[2]Ключевые показатели'!N$147*1000</f>
        <v>850267.62521442701</v>
      </c>
      <c r="E3" s="15">
        <f>'[2]Ключевые показатели'!O$147*1000</f>
        <v>685598.36368498649</v>
      </c>
      <c r="F3" s="15">
        <f>'[2]Ключевые показатели'!P$147*1000</f>
        <v>1132563.9522003063</v>
      </c>
      <c r="G3" s="15">
        <f>'[2]Ключевые показатели'!Q$147*1000</f>
        <v>1322710.6526480899</v>
      </c>
    </row>
    <row r="4" spans="1:8" x14ac:dyDescent="0.25">
      <c r="A4" t="s">
        <v>25</v>
      </c>
      <c r="C4" s="15">
        <f>B3</f>
        <v>1526671.3209615445</v>
      </c>
      <c r="D4" s="15">
        <f t="shared" ref="D4:H4" si="0">C3</f>
        <v>1446969.5063503692</v>
      </c>
      <c r="E4" s="15">
        <f t="shared" si="0"/>
        <v>850267.62521442701</v>
      </c>
      <c r="F4" s="15">
        <f t="shared" si="0"/>
        <v>685598.36368498649</v>
      </c>
      <c r="G4" s="15">
        <f t="shared" si="0"/>
        <v>1132563.9522003063</v>
      </c>
      <c r="H4" s="15">
        <f t="shared" si="0"/>
        <v>1322710.6526480899</v>
      </c>
    </row>
    <row r="5" spans="1:8" x14ac:dyDescent="0.25">
      <c r="A5" t="s">
        <v>26</v>
      </c>
      <c r="B5" s="11">
        <f>'доля акций в залог'!B17</f>
        <v>0.2437930207300428</v>
      </c>
      <c r="C5" s="16">
        <f>B5</f>
        <v>0.2437930207300428</v>
      </c>
      <c r="D5" s="16">
        <f t="shared" ref="D5:G5" si="1">C5</f>
        <v>0.2437930207300428</v>
      </c>
      <c r="E5" s="16">
        <f t="shared" si="1"/>
        <v>0.2437930207300428</v>
      </c>
      <c r="F5" s="16">
        <f t="shared" si="1"/>
        <v>0.2437930207300428</v>
      </c>
      <c r="G5" s="16">
        <f t="shared" si="1"/>
        <v>0.2437930207300428</v>
      </c>
      <c r="H5" s="16">
        <f t="shared" ref="H5" si="2">G5</f>
        <v>0.2437930207300428</v>
      </c>
    </row>
    <row r="6" spans="1:8" x14ac:dyDescent="0.25">
      <c r="A6" t="s">
        <v>27</v>
      </c>
      <c r="C6" s="15">
        <f>C4*C5</f>
        <v>372191.81299913966</v>
      </c>
      <c r="D6" s="15">
        <f t="shared" ref="D6:H6" si="3">D4*D5</f>
        <v>352761.06685741537</v>
      </c>
      <c r="E6" s="15">
        <f t="shared" si="3"/>
        <v>207289.31277998508</v>
      </c>
      <c r="F6" s="15">
        <f t="shared" si="3"/>
        <v>167144.09609033735</v>
      </c>
      <c r="G6" s="15">
        <f t="shared" si="3"/>
        <v>276111.18707686849</v>
      </c>
      <c r="H6" s="15">
        <f t="shared" si="3"/>
        <v>322467.62556088425</v>
      </c>
    </row>
    <row r="7" spans="1:8" x14ac:dyDescent="0.25">
      <c r="A7" t="s">
        <v>28</v>
      </c>
      <c r="C7" s="15">
        <f>'29-23 от 28.04.2023'!F19/1000</f>
        <v>2528621.2110100002</v>
      </c>
      <c r="D7" s="15">
        <f>C9</f>
        <v>1928621.2110100002</v>
      </c>
      <c r="E7" s="15">
        <f t="shared" ref="E7:G7" si="4">D9</f>
        <v>1328621.2110100002</v>
      </c>
      <c r="F7" s="15">
        <f t="shared" si="4"/>
        <v>1028621.2110100002</v>
      </c>
      <c r="G7" s="15">
        <f t="shared" si="4"/>
        <v>828621.2110100002</v>
      </c>
      <c r="H7" s="15">
        <f t="shared" ref="H7" si="5">G9</f>
        <v>328621.2110100002</v>
      </c>
    </row>
    <row r="8" spans="1:8" x14ac:dyDescent="0.25">
      <c r="A8" t="s">
        <v>29</v>
      </c>
      <c r="C8" s="15">
        <v>600000</v>
      </c>
      <c r="D8" s="15">
        <v>600000</v>
      </c>
      <c r="E8" s="15">
        <v>300000</v>
      </c>
      <c r="F8" s="15">
        <v>200000</v>
      </c>
      <c r="G8" s="15">
        <v>500000</v>
      </c>
      <c r="H8" s="15">
        <f>H7</f>
        <v>328621.2110100002</v>
      </c>
    </row>
    <row r="9" spans="1:8" x14ac:dyDescent="0.25">
      <c r="A9" t="s">
        <v>30</v>
      </c>
      <c r="C9" s="15">
        <f>C7-C8</f>
        <v>1928621.2110100002</v>
      </c>
      <c r="D9" s="15">
        <f t="shared" ref="D9:H9" si="6">D7-D8</f>
        <v>1328621.2110100002</v>
      </c>
      <c r="E9" s="15">
        <f t="shared" si="6"/>
        <v>1028621.2110100002</v>
      </c>
      <c r="F9" s="15">
        <f t="shared" si="6"/>
        <v>828621.2110100002</v>
      </c>
      <c r="G9" s="15">
        <f t="shared" si="6"/>
        <v>328621.2110100002</v>
      </c>
      <c r="H9" s="15">
        <f t="shared" si="6"/>
        <v>0</v>
      </c>
    </row>
    <row r="10" spans="1:8" x14ac:dyDescent="0.25">
      <c r="A10" t="s">
        <v>31</v>
      </c>
      <c r="C10" s="15">
        <f>'29-23 от 28.04.2023'!M20/1000</f>
        <v>302471.70378000004</v>
      </c>
      <c r="D10" s="15">
        <f>'29-23 от 28.04.2023'!M23/1000</f>
        <v>91537.444929999998</v>
      </c>
      <c r="E10" s="15">
        <f>'29-23 от 28.04.2023'!M25/1000</f>
        <v>178829.3559</v>
      </c>
      <c r="F10" s="15">
        <f>'29-23 от 28.04.2023'!M27/1000</f>
        <v>136739.35590999998</v>
      </c>
      <c r="G10" s="15">
        <f>'29-23 от 28.04.2023'!M29/1000</f>
        <v>108977.10756</v>
      </c>
      <c r="H10" s="15">
        <f>'29-23 от 28.04.2023'!N29/1000</f>
        <v>0</v>
      </c>
    </row>
    <row r="11" spans="1:8" x14ac:dyDescent="0.25">
      <c r="A11" t="s">
        <v>33</v>
      </c>
      <c r="C11" s="15">
        <v>250000</v>
      </c>
      <c r="D11" s="15">
        <f>C11</f>
        <v>250000</v>
      </c>
      <c r="E11" s="15">
        <f>D11</f>
        <v>250000</v>
      </c>
      <c r="F11" s="15">
        <f>E11</f>
        <v>250000</v>
      </c>
      <c r="G11" s="15">
        <f>F11</f>
        <v>250000</v>
      </c>
      <c r="H11" s="15">
        <f>G11</f>
        <v>250000</v>
      </c>
    </row>
    <row r="12" spans="1:8" x14ac:dyDescent="0.25">
      <c r="C12" s="20">
        <f>C6-C8-C10-C11</f>
        <v>-780279.89078086033</v>
      </c>
      <c r="D12" s="20">
        <f t="shared" ref="D12:H12" si="7">D6-D8-D10-D11</f>
        <v>-588776.37807258463</v>
      </c>
      <c r="E12" s="20">
        <f t="shared" si="7"/>
        <v>-521540.04312001495</v>
      </c>
      <c r="F12" s="20">
        <f t="shared" si="7"/>
        <v>-419595.25981966266</v>
      </c>
      <c r="G12" s="20">
        <f t="shared" si="7"/>
        <v>-582865.92048313154</v>
      </c>
      <c r="H12" s="20">
        <f t="shared" si="7"/>
        <v>-256153.58544911596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29-23 от 28.04.2023</vt:lpstr>
      <vt:lpstr>доля акций в залог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Холманских</dc:creator>
  <cp:lastModifiedBy>Кирьянова Ю.А.</cp:lastModifiedBy>
  <cp:lastPrinted>2024-01-31T12:41:16Z</cp:lastPrinted>
  <dcterms:created xsi:type="dcterms:W3CDTF">2023-12-25T06:25:22Z</dcterms:created>
  <dcterms:modified xsi:type="dcterms:W3CDTF">2024-07-08T23:52:28Z</dcterms:modified>
</cp:coreProperties>
</file>